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Questa_cartella_di_lavoro" defaultThemeVersion="124226"/>
  <bookViews>
    <workbookView xWindow="120" yWindow="75" windowWidth="18195" windowHeight="11055"/>
  </bookViews>
  <sheets>
    <sheet name="NOTA" sheetId="3" r:id="rId1"/>
    <sheet name="Simulazione" sheetId="1" r:id="rId2"/>
    <sheet name="Tabelle" sheetId="2" r:id="rId3"/>
  </sheets>
  <calcPr calcId="145621"/>
</workbook>
</file>

<file path=xl/calcChain.xml><?xml version="1.0" encoding="utf-8"?>
<calcChain xmlns="http://schemas.openxmlformats.org/spreadsheetml/2006/main">
  <c r="K3" i="2" l="1"/>
  <c r="F3" i="2"/>
  <c r="K18" i="2" l="1"/>
  <c r="M18" i="2" s="1"/>
  <c r="N18" i="2" s="1"/>
  <c r="F18" i="2"/>
  <c r="H18" i="2" s="1"/>
  <c r="I18" i="2" s="1"/>
  <c r="D18" i="2"/>
  <c r="K17" i="2"/>
  <c r="L17" i="2" s="1"/>
  <c r="F17" i="2"/>
  <c r="G17" i="2" s="1"/>
  <c r="D17" i="2"/>
  <c r="K16" i="2"/>
  <c r="M16" i="2" s="1"/>
  <c r="N16" i="2" s="1"/>
  <c r="F16" i="2"/>
  <c r="H16" i="2" s="1"/>
  <c r="I16" i="2" s="1"/>
  <c r="D16" i="2"/>
  <c r="K15" i="2"/>
  <c r="M15" i="2" s="1"/>
  <c r="F15" i="2"/>
  <c r="H15" i="2" s="1"/>
  <c r="D15" i="2"/>
  <c r="L16" i="2" l="1"/>
  <c r="M17" i="2"/>
  <c r="N17" i="2" s="1"/>
  <c r="L18" i="2"/>
  <c r="H17" i="2"/>
  <c r="I17" i="2" s="1"/>
  <c r="G16" i="2"/>
  <c r="G18" i="2"/>
  <c r="I15" i="2"/>
  <c r="N15" i="2"/>
  <c r="G15" i="2"/>
  <c r="L15" i="2"/>
  <c r="F15" i="1" l="1"/>
  <c r="K8" i="2" l="1"/>
  <c r="K9" i="2"/>
  <c r="K10" i="2"/>
  <c r="K11" i="2"/>
  <c r="K12" i="2"/>
  <c r="K13" i="2"/>
  <c r="K14" i="2"/>
  <c r="K7" i="2"/>
  <c r="F8" i="2"/>
  <c r="F9" i="2"/>
  <c r="F10" i="2"/>
  <c r="F11" i="2"/>
  <c r="F12" i="2"/>
  <c r="F13" i="2"/>
  <c r="F14" i="2"/>
  <c r="F7" i="2"/>
  <c r="D14" i="2"/>
  <c r="D13" i="2"/>
  <c r="D12" i="2"/>
  <c r="D11" i="2"/>
  <c r="D10" i="2"/>
  <c r="C19" i="1" s="1"/>
  <c r="D9" i="2"/>
  <c r="D8" i="2"/>
  <c r="D7" i="2"/>
  <c r="M12" i="2" l="1"/>
  <c r="N12" i="2" s="1"/>
  <c r="L12" i="2"/>
  <c r="M8" i="2"/>
  <c r="N8" i="2" s="1"/>
  <c r="L8" i="2"/>
  <c r="M7" i="2"/>
  <c r="N7" i="2" s="1"/>
  <c r="L7" i="2"/>
  <c r="M11" i="2"/>
  <c r="N11" i="2" s="1"/>
  <c r="L11" i="2"/>
  <c r="M14" i="2"/>
  <c r="L14" i="2"/>
  <c r="M10" i="2"/>
  <c r="N10" i="2" s="1"/>
  <c r="F25" i="1" s="1"/>
  <c r="L10" i="2"/>
  <c r="F19" i="1" s="1"/>
  <c r="M13" i="2"/>
  <c r="N13" i="2" s="1"/>
  <c r="L13" i="2"/>
  <c r="M9" i="2"/>
  <c r="N9" i="2" s="1"/>
  <c r="L9" i="2"/>
  <c r="H13" i="2"/>
  <c r="I13" i="2" s="1"/>
  <c r="G13" i="2"/>
  <c r="H9" i="2"/>
  <c r="I9" i="2" s="1"/>
  <c r="G9" i="2"/>
  <c r="G8" i="2"/>
  <c r="H8" i="2"/>
  <c r="I8" i="2" s="1"/>
  <c r="G14" i="2"/>
  <c r="H14" i="2"/>
  <c r="I14" i="2" s="1"/>
  <c r="G10" i="2"/>
  <c r="F17" i="1" s="1"/>
  <c r="F21" i="1" s="1"/>
  <c r="F23" i="1" s="1"/>
  <c r="H10" i="2"/>
  <c r="I10" i="2" s="1"/>
  <c r="C25" i="1" s="1"/>
  <c r="G12" i="2"/>
  <c r="H12" i="2"/>
  <c r="I12" i="2" s="1"/>
  <c r="H7" i="2"/>
  <c r="I7" i="2" s="1"/>
  <c r="G7" i="2"/>
  <c r="H11" i="2"/>
  <c r="I11" i="2" s="1"/>
  <c r="G11" i="2"/>
  <c r="N14" i="2"/>
  <c r="C34" i="1"/>
  <c r="C17" i="1" l="1"/>
  <c r="C21" i="1" s="1"/>
  <c r="C23" i="1" s="1"/>
  <c r="C29" i="1" s="1"/>
  <c r="C31" i="1" s="1"/>
  <c r="F27" i="1"/>
  <c r="F29" i="1" s="1"/>
</calcChain>
</file>

<file path=xl/sharedStrings.xml><?xml version="1.0" encoding="utf-8"?>
<sst xmlns="http://schemas.openxmlformats.org/spreadsheetml/2006/main" count="66" uniqueCount="54">
  <si>
    <t>PAV</t>
  </si>
  <si>
    <t>Scala parametrale</t>
  </si>
  <si>
    <t>Livello</t>
  </si>
  <si>
    <t>WELFARE</t>
  </si>
  <si>
    <t>Valore teorico</t>
  </si>
  <si>
    <t>Valore effettivo</t>
  </si>
  <si>
    <t>Delta residuo</t>
  </si>
  <si>
    <t>Importo Lordo</t>
  </si>
  <si>
    <t>FONDO PENSIONE</t>
  </si>
  <si>
    <t>Inserire livello</t>
  </si>
  <si>
    <t>(c) PAV lordo</t>
  </si>
  <si>
    <t>liv. 1</t>
  </si>
  <si>
    <t>liv. 2</t>
  </si>
  <si>
    <t>liv. 3</t>
  </si>
  <si>
    <t>liv. 4</t>
  </si>
  <si>
    <t>liv. 5</t>
  </si>
  <si>
    <t>liv. 6</t>
  </si>
  <si>
    <t>liv. F1</t>
  </si>
  <si>
    <t>liv. F2</t>
  </si>
  <si>
    <t>liv. F3</t>
  </si>
  <si>
    <t>(x) Residuo in quota lorda (x=d*c/b)</t>
  </si>
  <si>
    <t>(d) Valore non utilizzato (d=b-a)</t>
  </si>
  <si>
    <t>(z) Totale (Welfare utilizzato+Residuo Totale) (z=a+w)</t>
  </si>
  <si>
    <t>Simulazione residuo Welfare in previdenza complementare</t>
  </si>
  <si>
    <t>Valori a 100</t>
  </si>
  <si>
    <t>(b) Welfare valore effettivo</t>
  </si>
  <si>
    <t>(x) Residuo netto in previdenza complementare (x=d*c/b)</t>
  </si>
  <si>
    <t>Simulazione residuo Welfare su cedolino o previdenza complementare</t>
  </si>
  <si>
    <t>(a) Welfare utilizzato (cedolino Novembre)</t>
  </si>
  <si>
    <t>(w) Residuo Totale in quota netta circa (w=x+y) (su Fondo Pensione)</t>
  </si>
  <si>
    <t>(ali) Aliquota Irpef</t>
  </si>
  <si>
    <t>(w) Residuo Totale in quota netta w=(x+y) (aliquota=ali - cedolino Dicembre)</t>
  </si>
  <si>
    <t>Aliquote IRPEF</t>
  </si>
  <si>
    <t>Nota: in GIALLO le celle modificabili</t>
  </si>
  <si>
    <t>per reddito fino a 15.000 euro</t>
  </si>
  <si>
    <t>per reddito da 15.001 a 28.000 euro</t>
  </si>
  <si>
    <t>per reddito da 28.001 a 55.000 euro</t>
  </si>
  <si>
    <t>23% per reddito fino a 15.000 EURO</t>
  </si>
  <si>
    <t>27% per reddito da 15.001 a 28.000 EURO</t>
  </si>
  <si>
    <t>38% per reddito da 28.001 a 55.000 EURO</t>
  </si>
  <si>
    <t>PAV netto (senza contributo INPS a carico del lavoratore 9,29% e aliquota 10%)</t>
  </si>
  <si>
    <t>per reddito oltre a 75.000 euro</t>
  </si>
  <si>
    <t>per reddito da 55.001 a 75.000 euro</t>
  </si>
  <si>
    <t>41% per reddito da 55.001 a 75.000 euro</t>
  </si>
  <si>
    <t>43% per reddito oltre a 75.000 euro</t>
  </si>
  <si>
    <t>(y) Residuo Delta superiore 3.000 Euro in quota lorda</t>
  </si>
  <si>
    <t>(y) Residuo Delta superiore 3.000 Euro in quota netta</t>
  </si>
  <si>
    <t>C.C. sez.I op</t>
  </si>
  <si>
    <t>C.C. sez.II op.</t>
  </si>
  <si>
    <t>C.C. sez.I coord.</t>
  </si>
  <si>
    <t>Simulazione residuo Welfare in quota netta su cedolino</t>
  </si>
  <si>
    <t>LIMITE MASSIMO WELFARE</t>
  </si>
  <si>
    <t>(c) Previdenza complementare valore effettivo</t>
  </si>
  <si>
    <t>PAV (Scala parametrale=100)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</si>
</sst>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\-#,##0\ 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22"/>
      <color theme="1"/>
      <name val="Calibri"/>
      <family val="2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auto="1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4" fontId="0" fillId="0" borderId="0" xfId="0" applyNumberFormat="1"/>
    <xf numFmtId="43" fontId="0" fillId="0" borderId="0" xfId="0" applyNumberFormat="1"/>
    <xf numFmtId="0" fontId="0" fillId="0" borderId="0" xfId="0" applyFont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Fill="1" applyBorder="1"/>
    <xf numFmtId="43" fontId="0" fillId="0" borderId="4" xfId="1" applyNumberFormat="1" applyFont="1" applyFill="1" applyBorder="1"/>
    <xf numFmtId="43" fontId="0" fillId="0" borderId="4" xfId="0" applyNumberFormat="1" applyBorder="1"/>
    <xf numFmtId="43" fontId="0" fillId="0" borderId="4" xfId="0" applyNumberFormat="1" applyFill="1" applyBorder="1"/>
    <xf numFmtId="0" fontId="0" fillId="0" borderId="5" xfId="0" applyFill="1" applyBorder="1"/>
    <xf numFmtId="0" fontId="4" fillId="0" borderId="0" xfId="0" applyFont="1" applyFill="1"/>
    <xf numFmtId="43" fontId="4" fillId="0" borderId="0" xfId="1" applyNumberFormat="1" applyFont="1" applyFill="1"/>
    <xf numFmtId="0" fontId="3" fillId="2" borderId="0" xfId="0" applyFont="1" applyFill="1" applyProtection="1">
      <protection locked="0"/>
    </xf>
    <xf numFmtId="43" fontId="3" fillId="2" borderId="4" xfId="1" applyNumberFormat="1" applyFont="1" applyFill="1" applyBorder="1" applyProtection="1">
      <protection locked="0"/>
    </xf>
    <xf numFmtId="43" fontId="0" fillId="0" borderId="6" xfId="1" applyNumberFormat="1" applyFont="1" applyFill="1" applyBorder="1"/>
    <xf numFmtId="43" fontId="0" fillId="0" borderId="6" xfId="0" applyNumberFormat="1" applyFill="1" applyBorder="1"/>
    <xf numFmtId="0" fontId="5" fillId="2" borderId="0" xfId="0" applyFont="1" applyFill="1"/>
    <xf numFmtId="9" fontId="3" fillId="2" borderId="4" xfId="0" applyNumberFormat="1" applyFont="1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9" fontId="0" fillId="0" borderId="10" xfId="0" applyNumberFormat="1" applyBorder="1"/>
    <xf numFmtId="0" fontId="0" fillId="0" borderId="0" xfId="0" applyBorder="1"/>
    <xf numFmtId="0" fontId="0" fillId="0" borderId="11" xfId="0" applyBorder="1"/>
    <xf numFmtId="9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18" xfId="0" applyBorder="1"/>
    <xf numFmtId="0" fontId="0" fillId="0" borderId="20" xfId="0" applyBorder="1"/>
    <xf numFmtId="43" fontId="0" fillId="0" borderId="20" xfId="0" applyNumberFormat="1" applyBorder="1"/>
    <xf numFmtId="0" fontId="0" fillId="0" borderId="19" xfId="0" applyBorder="1"/>
    <xf numFmtId="3" fontId="0" fillId="0" borderId="0" xfId="0" applyNumberFormat="1"/>
    <xf numFmtId="0" fontId="0" fillId="0" borderId="0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10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  <xf numFmtId="43" fontId="8" fillId="2" borderId="0" xfId="0" applyNumberFormat="1" applyFont="1" applyFill="1"/>
    <xf numFmtId="164" fontId="0" fillId="0" borderId="2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35716</xdr:colOff>
      <xdr:row>2</xdr:row>
      <xdr:rowOff>130968</xdr:rowOff>
    </xdr:from>
    <xdr:to>
      <xdr:col>21</xdr:col>
      <xdr:colOff>35719</xdr:colOff>
      <xdr:row>29</xdr:row>
      <xdr:rowOff>142875</xdr:rowOff>
    </xdr:to>
    <xdr:sp macro="" textlink="">
      <xdr:nvSpPr>
        <xdr:cNvPr id="2" name="CasellaDiTesto 1"/>
        <xdr:cNvSpPr txBox="1"/>
      </xdr:nvSpPr>
      <xdr:spPr>
        <a:xfrm>
          <a:off x="642935" y="511968"/>
          <a:ext cx="12144378" cy="5155407"/>
        </a:xfrm>
        <a:prstGeom prst="rect">
          <a:avLst/>
        </a:prstGeom>
        <a:solidFill>
          <a:srgbClr val="FFFF00"/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2400" b="1"/>
            <a:t>Questa simulazione è</a:t>
          </a:r>
          <a:r>
            <a:rPr lang="it-IT" sz="2400" b="1" baseline="0"/>
            <a:t> tratta dall'esempio di riproporzionamento della  COM UGH DRU 13.pdf di pagina 7.</a:t>
          </a:r>
        </a:p>
        <a:p>
          <a:r>
            <a:rPr lang="it-IT" sz="2400" b="1" i="1" baseline="0"/>
            <a:t>Prestazioni di “Welfare” spettante pari ad € 1.902,90 riferito ad un 4° livello retributivo.</a:t>
          </a:r>
        </a:p>
        <a:p>
          <a:r>
            <a:rPr lang="it-IT" sz="2400" b="1" i="1" baseline="0"/>
            <a:t>Valore non utilizzato pari a  EURO 200,00.</a:t>
          </a:r>
        </a:p>
        <a:p>
          <a:r>
            <a:rPr lang="it-IT" sz="2400" b="1" i="0" baseline="0"/>
            <a:t>Il riproporzionamento viene effettuato sui VALORI TEORICI.</a:t>
          </a:r>
        </a:p>
        <a:p>
          <a:endParaRPr lang="it-IT" sz="2400" b="1" baseline="0"/>
        </a:p>
        <a:p>
          <a:r>
            <a:rPr lang="it-IT" sz="2800" b="1" u="sng" baseline="0"/>
            <a:t>La simulazione prevede che ci sia una spesa Welfare richiesta</a:t>
          </a:r>
          <a:r>
            <a:rPr lang="it-IT" sz="2800" b="1" baseline="0"/>
            <a:t>.</a:t>
          </a:r>
        </a:p>
        <a:p>
          <a:endParaRPr lang="it-IT" sz="2400" b="1" baseline="0"/>
        </a:p>
        <a:p>
          <a:r>
            <a:rPr lang="it-IT" sz="2400" b="1" baseline="0"/>
            <a:t>Nel caso in cui una spesa Welfare non venga richiesta e si voglia destinare  tutto il PAV  alla previdenza complementare, non si deve utilizzare la simulazione ma guardare nella colonna "IMPORTO EFFETTIVO" a pagina  8 della COM </a:t>
          </a:r>
          <a:r>
            <a:rPr lang="it-IT" sz="2400" b="1" u="sng" baseline="0"/>
            <a:t>Tabella C: FONDO PENSIONE</a:t>
          </a:r>
          <a:r>
            <a:rPr lang="it-IT" sz="2400" b="1" u="none" baseline="0"/>
            <a:t>.</a:t>
          </a:r>
          <a:endParaRPr lang="it-IT" sz="2400" b="1" u="sng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142876</xdr:colOff>
      <xdr:row>0</xdr:row>
      <xdr:rowOff>133088</xdr:rowOff>
    </xdr:from>
    <xdr:to>
      <xdr:col>1</xdr:col>
      <xdr:colOff>750094</xdr:colOff>
      <xdr:row>4</xdr:row>
      <xdr:rowOff>143140</xdr:rowOff>
    </xdr:to>
    <xdr:pic>
      <xdr:nvPicPr>
        <xdr:cNvPr id="2" name="Immagine 2" descr="image00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0" r="23469"/>
        <a:stretch/>
      </xdr:blipFill>
      <xdr:spPr bwMode="auto">
        <a:xfrm>
          <a:off x="452439" y="133088"/>
          <a:ext cx="607218" cy="77205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tabSelected="1" zoomScale="80" zoomScaleNormal="80" workbookViewId="0"/>
  </sheetViews>
  <sheetFormatPr defaultRowHeight="15" x14ac:dyDescent="0.25"/>
  <sheetData/>
  <sheetProtection password="C143" sheet="1" objects="1" scenarios="1"/>
  <pageMargins left="0.7" right="0.7" top="0.75" bottom="0.75" header="0.3" footer="0.3"/>
  <pageSetup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B5:F44"/>
  <sheetViews>
    <sheetView showGridLines="0" zoomScale="80" zoomScaleNormal="80" workbookViewId="0">
      <selection activeCell="C15" sqref="C15"/>
    </sheetView>
  </sheetViews>
  <sheetFormatPr defaultRowHeight="15" x14ac:dyDescent="0.25"/>
  <cols>
    <col min="1" max="1" width="4.7109375" customWidth="1"/>
    <col min="2" max="2" width="77.7109375" customWidth="1"/>
    <col min="3" max="3" width="13" bestFit="1" customWidth="1"/>
    <col min="4" max="4" width="4.7109375" customWidth="1"/>
    <col min="5" max="5" width="69.85546875" bestFit="1" customWidth="1"/>
    <col min="6" max="6" width="10.85546875" bestFit="1" customWidth="1"/>
  </cols>
  <sheetData>
    <row r="5" spans="2:6" x14ac:dyDescent="0.25">
      <c r="E5" s="2"/>
    </row>
    <row r="6" spans="2:6" x14ac:dyDescent="0.25">
      <c r="E6" s="2"/>
    </row>
    <row r="7" spans="2:6" ht="28.5" x14ac:dyDescent="0.45">
      <c r="B7" s="46"/>
    </row>
    <row r="8" spans="2:6" ht="23.25" x14ac:dyDescent="0.35">
      <c r="B8" s="45" t="s">
        <v>27</v>
      </c>
    </row>
    <row r="10" spans="2:6" ht="18.75" x14ac:dyDescent="0.3">
      <c r="B10" s="44" t="s">
        <v>9</v>
      </c>
      <c r="C10" s="15" t="s">
        <v>14</v>
      </c>
    </row>
    <row r="11" spans="2:6" x14ac:dyDescent="0.25">
      <c r="B11" s="3"/>
      <c r="D11" s="3"/>
      <c r="E11" s="3"/>
    </row>
    <row r="12" spans="2:6" x14ac:dyDescent="0.25">
      <c r="B12" s="3"/>
      <c r="D12" s="3"/>
      <c r="E12" s="3"/>
    </row>
    <row r="13" spans="2:6" x14ac:dyDescent="0.25">
      <c r="B13" s="4" t="s">
        <v>50</v>
      </c>
      <c r="C13" s="5"/>
      <c r="E13" s="4" t="s">
        <v>23</v>
      </c>
      <c r="F13" s="5"/>
    </row>
    <row r="14" spans="2:6" x14ac:dyDescent="0.25">
      <c r="B14" s="6"/>
      <c r="C14" s="7"/>
      <c r="E14" s="6"/>
      <c r="F14" s="7"/>
    </row>
    <row r="15" spans="2:6" ht="18.75" x14ac:dyDescent="0.3">
      <c r="B15" s="8" t="s">
        <v>28</v>
      </c>
      <c r="C15" s="16">
        <v>1702.9</v>
      </c>
      <c r="E15" s="8" t="s">
        <v>28</v>
      </c>
      <c r="F15" s="9">
        <f>C15</f>
        <v>1702.9</v>
      </c>
    </row>
    <row r="16" spans="2:6" ht="15.75" thickBot="1" x14ac:dyDescent="0.3">
      <c r="B16" s="6"/>
      <c r="C16" s="10"/>
      <c r="E16" s="6"/>
      <c r="F16" s="10"/>
    </row>
    <row r="17" spans="2:6" ht="15.75" thickBot="1" x14ac:dyDescent="0.3">
      <c r="B17" s="8" t="s">
        <v>25</v>
      </c>
      <c r="C17" s="17">
        <f>VLOOKUP($C$10,Tabelle!$C$7:$N$18,5,FALSE)</f>
        <v>1902.9</v>
      </c>
      <c r="E17" s="8" t="s">
        <v>25</v>
      </c>
      <c r="F17" s="17">
        <f>VLOOKUP($C$10,Tabelle!$C$7:$N$18,5,FALSE)</f>
        <v>1902.9</v>
      </c>
    </row>
    <row r="18" spans="2:6" x14ac:dyDescent="0.25">
      <c r="B18" s="6"/>
      <c r="C18" s="10"/>
      <c r="E18" s="6"/>
      <c r="F18" s="10"/>
    </row>
    <row r="19" spans="2:6" x14ac:dyDescent="0.25">
      <c r="B19" s="8" t="s">
        <v>10</v>
      </c>
      <c r="C19" s="9">
        <f>VLOOKUP($C$10,Tabelle!$C$7:$N$18,2,FALSE)</f>
        <v>1500</v>
      </c>
      <c r="E19" s="8" t="s">
        <v>52</v>
      </c>
      <c r="F19" s="9">
        <f>VLOOKUP($C$10,Tabelle!$C$7:$N$18,10,FALSE)</f>
        <v>1729.95</v>
      </c>
    </row>
    <row r="20" spans="2:6" x14ac:dyDescent="0.25">
      <c r="B20" s="6"/>
      <c r="C20" s="10"/>
      <c r="E20" s="6"/>
      <c r="F20" s="10"/>
    </row>
    <row r="21" spans="2:6" x14ac:dyDescent="0.25">
      <c r="B21" s="8" t="s">
        <v>21</v>
      </c>
      <c r="C21" s="11">
        <f>C17-C15</f>
        <v>200</v>
      </c>
      <c r="E21" s="8" t="s">
        <v>21</v>
      </c>
      <c r="F21" s="11">
        <f>F17-F15</f>
        <v>200</v>
      </c>
    </row>
    <row r="22" spans="2:6" x14ac:dyDescent="0.25">
      <c r="B22" s="6"/>
      <c r="C22" s="10"/>
      <c r="E22" s="6"/>
      <c r="F22" s="10"/>
    </row>
    <row r="23" spans="2:6" x14ac:dyDescent="0.25">
      <c r="B23" s="8" t="s">
        <v>20</v>
      </c>
      <c r="C23" s="11">
        <f>C21*C19/VLOOKUP($C$10,Tabelle!$C$7:$N$18,4,FALSE)</f>
        <v>157.65410688948447</v>
      </c>
      <c r="E23" s="8" t="s">
        <v>26</v>
      </c>
      <c r="F23" s="11">
        <f>F21*VLOOKUP($C$10,Tabelle!$C$7:$N$18,9,FALSE)/VLOOKUP($C$10,Tabelle!$C$7:$N$18,4,FALSE)</f>
        <v>181.82248147564243</v>
      </c>
    </row>
    <row r="24" spans="2:6" x14ac:dyDescent="0.25">
      <c r="B24" s="6"/>
      <c r="C24" s="10"/>
      <c r="E24" s="6"/>
      <c r="F24" s="10"/>
    </row>
    <row r="25" spans="2:6" x14ac:dyDescent="0.25">
      <c r="B25" s="6" t="s">
        <v>45</v>
      </c>
      <c r="C25" s="9">
        <f>VLOOKUP($C$10,Tabelle!$C$7:$N$18,7,FALSE)</f>
        <v>0</v>
      </c>
      <c r="E25" s="6" t="s">
        <v>46</v>
      </c>
      <c r="F25" s="9">
        <f>VLOOKUP($C$10,Tabelle!$C$7:$N$18,12,FALSE)</f>
        <v>0</v>
      </c>
    </row>
    <row r="26" spans="2:6" x14ac:dyDescent="0.25">
      <c r="B26" s="6"/>
      <c r="C26" s="10"/>
      <c r="E26" s="6"/>
      <c r="F26" s="10"/>
    </row>
    <row r="27" spans="2:6" ht="18.75" x14ac:dyDescent="0.3">
      <c r="B27" s="6" t="s">
        <v>30</v>
      </c>
      <c r="C27" s="20">
        <v>0.27</v>
      </c>
      <c r="E27" s="8" t="s">
        <v>29</v>
      </c>
      <c r="F27" s="11">
        <f>F23+F25</f>
        <v>181.82248147564243</v>
      </c>
    </row>
    <row r="28" spans="2:6" ht="15.75" thickBot="1" x14ac:dyDescent="0.3">
      <c r="B28" s="6"/>
      <c r="C28" s="7"/>
      <c r="E28" s="6"/>
      <c r="F28" s="10"/>
    </row>
    <row r="29" spans="2:6" ht="15.75" thickBot="1" x14ac:dyDescent="0.3">
      <c r="B29" s="8" t="s">
        <v>31</v>
      </c>
      <c r="C29" s="11">
        <f>(C23+C25)*(1-C27)</f>
        <v>115.08749802932365</v>
      </c>
      <c r="E29" s="12" t="s">
        <v>22</v>
      </c>
      <c r="F29" s="18">
        <f>F15+F27</f>
        <v>1884.7224814756426</v>
      </c>
    </row>
    <row r="30" spans="2:6" ht="15.75" thickBot="1" x14ac:dyDescent="0.3">
      <c r="B30" s="6"/>
      <c r="C30" s="10"/>
      <c r="F30" s="2"/>
    </row>
    <row r="31" spans="2:6" ht="15.75" thickBot="1" x14ac:dyDescent="0.3">
      <c r="B31" s="12" t="s">
        <v>22</v>
      </c>
      <c r="C31" s="18">
        <f>C15+C29</f>
        <v>1817.9874980293237</v>
      </c>
    </row>
    <row r="32" spans="2:6" x14ac:dyDescent="0.25">
      <c r="C32" s="2"/>
      <c r="F32" s="2"/>
    </row>
    <row r="33" spans="2:5" x14ac:dyDescent="0.25">
      <c r="C33" s="2"/>
    </row>
    <row r="34" spans="2:5" ht="15.75" x14ac:dyDescent="0.25">
      <c r="B34" s="13" t="s">
        <v>40</v>
      </c>
      <c r="C34" s="14">
        <f>(C19*(1-0.0929))*(1-0.1)</f>
        <v>1224.585</v>
      </c>
      <c r="E34" s="2"/>
    </row>
    <row r="36" spans="2:5" x14ac:dyDescent="0.25">
      <c r="B36" s="19" t="s">
        <v>33</v>
      </c>
    </row>
    <row r="37" spans="2:5" ht="15.75" thickBot="1" x14ac:dyDescent="0.3"/>
    <row r="38" spans="2:5" ht="15.75" thickTop="1" x14ac:dyDescent="0.25">
      <c r="B38" s="30" t="s">
        <v>32</v>
      </c>
    </row>
    <row r="39" spans="2:5" x14ac:dyDescent="0.25">
      <c r="B39" s="31" t="s">
        <v>37</v>
      </c>
      <c r="E39" s="2"/>
    </row>
    <row r="40" spans="2:5" x14ac:dyDescent="0.25">
      <c r="B40" s="31" t="s">
        <v>38</v>
      </c>
    </row>
    <row r="41" spans="2:5" x14ac:dyDescent="0.25">
      <c r="B41" s="31" t="s">
        <v>39</v>
      </c>
    </row>
    <row r="42" spans="2:5" x14ac:dyDescent="0.25">
      <c r="B42" s="31" t="s">
        <v>43</v>
      </c>
    </row>
    <row r="43" spans="2:5" ht="15.75" thickBot="1" x14ac:dyDescent="0.3">
      <c r="B43" s="32" t="s">
        <v>44</v>
      </c>
    </row>
    <row r="44" spans="2:5" ht="15.75" thickTop="1" x14ac:dyDescent="0.25"/>
  </sheetData>
  <sheetProtection password="C143" sheet="1" objects="1" scenarios="1"/>
  <pageMargins left="0.25" right="0.25" top="0.75" bottom="0.75" header="0.3" footer="0.3"/>
  <pageSetup paperSize="9"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Tabelle!$C$7:$C$18</xm:f>
          </x14:formula1>
          <xm:sqref>C10</xm:sqref>
        </x14:dataValidation>
        <x14:dataValidation type="list" allowBlank="1" showInputMessage="1" showErrorMessage="1">
          <x14:formula1>
            <xm:f>Tabelle!$B$25:$B$29</xm:f>
          </x14:formula1>
          <xm:sqref>C27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B2:N30"/>
  <sheetViews>
    <sheetView zoomScale="80" zoomScaleNormal="80" workbookViewId="0"/>
  </sheetViews>
  <sheetFormatPr defaultRowHeight="15" x14ac:dyDescent="0.25"/>
  <cols>
    <col min="1" max="1" width="4.7109375" customWidth="1"/>
    <col min="2" max="2" width="15.5703125" bestFit="1" customWidth="1"/>
    <col min="3" max="3" width="15" customWidth="1"/>
    <col min="4" max="4" width="13.28515625" customWidth="1"/>
    <col min="5" max="5" width="5.28515625" customWidth="1"/>
    <col min="6" max="9" width="10.42578125" customWidth="1"/>
    <col min="10" max="10" width="5.42578125" customWidth="1"/>
    <col min="11" max="14" width="10.5703125" customWidth="1"/>
    <col min="16" max="16" width="26.7109375" bestFit="1" customWidth="1"/>
  </cols>
  <sheetData>
    <row r="2" spans="2:14" ht="48" customHeight="1" x14ac:dyDescent="0.25">
      <c r="D2" s="49" t="s">
        <v>53</v>
      </c>
      <c r="F2" t="s">
        <v>3</v>
      </c>
      <c r="H2" s="48"/>
      <c r="K2" s="49" t="s">
        <v>8</v>
      </c>
      <c r="M2" s="49" t="s">
        <v>51</v>
      </c>
    </row>
    <row r="3" spans="2:14" x14ac:dyDescent="0.25">
      <c r="B3" t="s">
        <v>24</v>
      </c>
      <c r="C3" s="2"/>
      <c r="D3" s="50">
        <v>1000</v>
      </c>
      <c r="F3" s="2">
        <f>$D$3*1.2686</f>
        <v>1268.5999999999999</v>
      </c>
      <c r="G3" s="47"/>
      <c r="K3" s="2">
        <f>$D$3*1.1533</f>
        <v>1153.3</v>
      </c>
      <c r="M3" s="41">
        <v>3000</v>
      </c>
    </row>
    <row r="4" spans="2:14" x14ac:dyDescent="0.25">
      <c r="D4" s="1"/>
    </row>
    <row r="5" spans="2:14" x14ac:dyDescent="0.25">
      <c r="B5" s="34"/>
      <c r="C5" s="33"/>
      <c r="D5" s="33"/>
      <c r="E5" s="25"/>
      <c r="F5" s="52" t="s">
        <v>3</v>
      </c>
      <c r="G5" s="53"/>
      <c r="H5" s="53"/>
      <c r="I5" s="54"/>
      <c r="J5" s="25"/>
      <c r="K5" s="52" t="s">
        <v>8</v>
      </c>
      <c r="L5" s="53"/>
      <c r="M5" s="53"/>
      <c r="N5" s="54"/>
    </row>
    <row r="6" spans="2:14" ht="30.75" customHeight="1" x14ac:dyDescent="0.25">
      <c r="B6" s="34" t="s">
        <v>1</v>
      </c>
      <c r="C6" s="42" t="s">
        <v>2</v>
      </c>
      <c r="D6" s="42" t="s">
        <v>0</v>
      </c>
      <c r="E6" s="25"/>
      <c r="F6" s="35" t="s">
        <v>4</v>
      </c>
      <c r="G6" s="34" t="s">
        <v>5</v>
      </c>
      <c r="H6" s="34" t="s">
        <v>6</v>
      </c>
      <c r="I6" s="36" t="s">
        <v>7</v>
      </c>
      <c r="J6" s="25"/>
      <c r="K6" s="35" t="s">
        <v>4</v>
      </c>
      <c r="L6" s="34" t="s">
        <v>5</v>
      </c>
      <c r="M6" s="34" t="s">
        <v>6</v>
      </c>
      <c r="N6" s="36" t="s">
        <v>7</v>
      </c>
    </row>
    <row r="7" spans="2:14" x14ac:dyDescent="0.25">
      <c r="B7" s="38">
        <v>100</v>
      </c>
      <c r="C7" s="43" t="s">
        <v>11</v>
      </c>
      <c r="D7" s="51">
        <f>D$3*$B7/100</f>
        <v>1000</v>
      </c>
      <c r="E7" s="40"/>
      <c r="F7" s="39">
        <f t="shared" ref="F7:F18" si="0">F$3*$B7/100</f>
        <v>1268.5999999999999</v>
      </c>
      <c r="G7" s="39">
        <f t="shared" ref="G7:G18" si="1">IF(F7&gt;$M$3,$M$3,F7)</f>
        <v>1268.5999999999999</v>
      </c>
      <c r="H7" s="39">
        <f t="shared" ref="H7:H18" si="2">IF(F7&lt;$M$3,0,F7-$M$3)</f>
        <v>0</v>
      </c>
      <c r="I7" s="39">
        <f>IF(H7=0,0,H7*$D7/F7)</f>
        <v>0</v>
      </c>
      <c r="J7" s="37"/>
      <c r="K7" s="39">
        <f t="shared" ref="K7:K18" si="3">K$3*$B7/100</f>
        <v>1153.3</v>
      </c>
      <c r="L7" s="39">
        <f t="shared" ref="L7:L18" si="4">IF(K7&gt;$M$3,$M$3,K7)</f>
        <v>1153.3</v>
      </c>
      <c r="M7" s="39">
        <f t="shared" ref="M7:M18" si="5">IF(K7&lt;$M$3,0,K7-$M$3)</f>
        <v>0</v>
      </c>
      <c r="N7" s="39">
        <f t="shared" ref="N7:N14" si="6">IF(M7=0,0,M7*$D7/K7)</f>
        <v>0</v>
      </c>
    </row>
    <row r="8" spans="2:14" x14ac:dyDescent="0.25">
      <c r="B8" s="38">
        <v>110</v>
      </c>
      <c r="C8" s="43" t="s">
        <v>12</v>
      </c>
      <c r="D8" s="51">
        <f t="shared" ref="D8:D18" si="7">D$3*$B8/100</f>
        <v>1100</v>
      </c>
      <c r="E8" s="40"/>
      <c r="F8" s="39">
        <f t="shared" si="0"/>
        <v>1395.46</v>
      </c>
      <c r="G8" s="39">
        <f t="shared" si="1"/>
        <v>1395.46</v>
      </c>
      <c r="H8" s="39">
        <f t="shared" si="2"/>
        <v>0</v>
      </c>
      <c r="I8" s="39">
        <f t="shared" ref="I8:I14" si="8">IF(H8=0,0,H8*$D8/F8)</f>
        <v>0</v>
      </c>
      <c r="J8" s="37"/>
      <c r="K8" s="39">
        <f t="shared" si="3"/>
        <v>1268.6300000000001</v>
      </c>
      <c r="L8" s="39">
        <f t="shared" si="4"/>
        <v>1268.6300000000001</v>
      </c>
      <c r="M8" s="39">
        <f t="shared" si="5"/>
        <v>0</v>
      </c>
      <c r="N8" s="39">
        <f t="shared" si="6"/>
        <v>0</v>
      </c>
    </row>
    <row r="9" spans="2:14" x14ac:dyDescent="0.25">
      <c r="B9" s="38">
        <v>130</v>
      </c>
      <c r="C9" s="43" t="s">
        <v>13</v>
      </c>
      <c r="D9" s="51">
        <f t="shared" si="7"/>
        <v>1300</v>
      </c>
      <c r="E9" s="40"/>
      <c r="F9" s="39">
        <f t="shared" si="0"/>
        <v>1649.18</v>
      </c>
      <c r="G9" s="39">
        <f t="shared" si="1"/>
        <v>1649.18</v>
      </c>
      <c r="H9" s="39">
        <f t="shared" si="2"/>
        <v>0</v>
      </c>
      <c r="I9" s="39">
        <f t="shared" si="8"/>
        <v>0</v>
      </c>
      <c r="J9" s="37"/>
      <c r="K9" s="39">
        <f t="shared" si="3"/>
        <v>1499.29</v>
      </c>
      <c r="L9" s="39">
        <f t="shared" si="4"/>
        <v>1499.29</v>
      </c>
      <c r="M9" s="39">
        <f t="shared" si="5"/>
        <v>0</v>
      </c>
      <c r="N9" s="39">
        <f t="shared" si="6"/>
        <v>0</v>
      </c>
    </row>
    <row r="10" spans="2:14" x14ac:dyDescent="0.25">
      <c r="B10" s="38">
        <v>150</v>
      </c>
      <c r="C10" s="43" t="s">
        <v>14</v>
      </c>
      <c r="D10" s="51">
        <f t="shared" si="7"/>
        <v>1500</v>
      </c>
      <c r="E10" s="40"/>
      <c r="F10" s="39">
        <f t="shared" si="0"/>
        <v>1902.9</v>
      </c>
      <c r="G10" s="39">
        <f t="shared" si="1"/>
        <v>1902.9</v>
      </c>
      <c r="H10" s="39">
        <f t="shared" si="2"/>
        <v>0</v>
      </c>
      <c r="I10" s="39">
        <f t="shared" si="8"/>
        <v>0</v>
      </c>
      <c r="J10" s="37"/>
      <c r="K10" s="39">
        <f t="shared" si="3"/>
        <v>1729.95</v>
      </c>
      <c r="L10" s="39">
        <f t="shared" si="4"/>
        <v>1729.95</v>
      </c>
      <c r="M10" s="39">
        <f t="shared" si="5"/>
        <v>0</v>
      </c>
      <c r="N10" s="39">
        <f t="shared" si="6"/>
        <v>0</v>
      </c>
    </row>
    <row r="11" spans="2:14" x14ac:dyDescent="0.25">
      <c r="B11" s="38">
        <v>170</v>
      </c>
      <c r="C11" s="43" t="s">
        <v>15</v>
      </c>
      <c r="D11" s="51">
        <f t="shared" si="7"/>
        <v>1700</v>
      </c>
      <c r="E11" s="40"/>
      <c r="F11" s="39">
        <f t="shared" si="0"/>
        <v>2156.62</v>
      </c>
      <c r="G11" s="39">
        <f t="shared" si="1"/>
        <v>2156.62</v>
      </c>
      <c r="H11" s="39">
        <f t="shared" si="2"/>
        <v>0</v>
      </c>
      <c r="I11" s="39">
        <f t="shared" si="8"/>
        <v>0</v>
      </c>
      <c r="J11" s="37"/>
      <c r="K11" s="39">
        <f t="shared" si="3"/>
        <v>1960.61</v>
      </c>
      <c r="L11" s="39">
        <f t="shared" si="4"/>
        <v>1960.61</v>
      </c>
      <c r="M11" s="39">
        <f t="shared" si="5"/>
        <v>0</v>
      </c>
      <c r="N11" s="39">
        <f t="shared" si="6"/>
        <v>0</v>
      </c>
    </row>
    <row r="12" spans="2:14" x14ac:dyDescent="0.25">
      <c r="B12" s="38">
        <v>200</v>
      </c>
      <c r="C12" s="43" t="s">
        <v>16</v>
      </c>
      <c r="D12" s="51">
        <f t="shared" si="7"/>
        <v>2000</v>
      </c>
      <c r="E12" s="40"/>
      <c r="F12" s="39">
        <f t="shared" si="0"/>
        <v>2537.1999999999998</v>
      </c>
      <c r="G12" s="39">
        <f t="shared" si="1"/>
        <v>2537.1999999999998</v>
      </c>
      <c r="H12" s="39">
        <f t="shared" si="2"/>
        <v>0</v>
      </c>
      <c r="I12" s="39">
        <f t="shared" si="8"/>
        <v>0</v>
      </c>
      <c r="J12" s="37"/>
      <c r="K12" s="39">
        <f t="shared" si="3"/>
        <v>2306.6</v>
      </c>
      <c r="L12" s="39">
        <f t="shared" si="4"/>
        <v>2306.6</v>
      </c>
      <c r="M12" s="39">
        <f t="shared" si="5"/>
        <v>0</v>
      </c>
      <c r="N12" s="39">
        <f>IF(M12=0,0,M12*$D12/K12)</f>
        <v>0</v>
      </c>
    </row>
    <row r="13" spans="2:14" x14ac:dyDescent="0.25">
      <c r="B13" s="38">
        <v>230</v>
      </c>
      <c r="C13" s="43" t="s">
        <v>17</v>
      </c>
      <c r="D13" s="51">
        <f t="shared" si="7"/>
        <v>2300</v>
      </c>
      <c r="E13" s="40"/>
      <c r="F13" s="39">
        <f t="shared" si="0"/>
        <v>2917.78</v>
      </c>
      <c r="G13" s="39">
        <f t="shared" si="1"/>
        <v>2917.78</v>
      </c>
      <c r="H13" s="39">
        <f t="shared" si="2"/>
        <v>0</v>
      </c>
      <c r="I13" s="39">
        <f t="shared" si="8"/>
        <v>0</v>
      </c>
      <c r="J13" s="37"/>
      <c r="K13" s="39">
        <f t="shared" si="3"/>
        <v>2652.59</v>
      </c>
      <c r="L13" s="39">
        <f t="shared" si="4"/>
        <v>2652.59</v>
      </c>
      <c r="M13" s="39">
        <f t="shared" si="5"/>
        <v>0</v>
      </c>
      <c r="N13" s="39">
        <f t="shared" si="6"/>
        <v>0</v>
      </c>
    </row>
    <row r="14" spans="2:14" x14ac:dyDescent="0.25">
      <c r="B14" s="38">
        <v>270</v>
      </c>
      <c r="C14" s="43" t="s">
        <v>18</v>
      </c>
      <c r="D14" s="51">
        <f t="shared" si="7"/>
        <v>2700</v>
      </c>
      <c r="E14" s="40"/>
      <c r="F14" s="39">
        <f t="shared" si="0"/>
        <v>3425.22</v>
      </c>
      <c r="G14" s="39">
        <f t="shared" si="1"/>
        <v>3000</v>
      </c>
      <c r="H14" s="39">
        <f t="shared" si="2"/>
        <v>425.2199999999998</v>
      </c>
      <c r="I14" s="39">
        <f t="shared" si="8"/>
        <v>335.18839665773282</v>
      </c>
      <c r="J14" s="37"/>
      <c r="K14" s="39">
        <f t="shared" si="3"/>
        <v>3113.91</v>
      </c>
      <c r="L14" s="39">
        <f t="shared" si="4"/>
        <v>3000</v>
      </c>
      <c r="M14" s="39">
        <f t="shared" si="5"/>
        <v>113.90999999999985</v>
      </c>
      <c r="N14" s="39">
        <f t="shared" si="6"/>
        <v>98.768750541923055</v>
      </c>
    </row>
    <row r="15" spans="2:14" x14ac:dyDescent="0.25">
      <c r="B15" s="38">
        <v>300</v>
      </c>
      <c r="C15" s="43" t="s">
        <v>19</v>
      </c>
      <c r="D15" s="51">
        <f t="shared" si="7"/>
        <v>3000</v>
      </c>
      <c r="E15" s="40"/>
      <c r="F15" s="39">
        <f t="shared" si="0"/>
        <v>3805.8</v>
      </c>
      <c r="G15" s="39">
        <f t="shared" si="1"/>
        <v>3000</v>
      </c>
      <c r="H15" s="39">
        <f t="shared" si="2"/>
        <v>805.80000000000018</v>
      </c>
      <c r="I15" s="39">
        <f t="shared" ref="I15" si="9">IF(H15=0,0,H15*$D15/F15)</f>
        <v>635.18839665773305</v>
      </c>
      <c r="J15" s="37"/>
      <c r="K15" s="39">
        <f t="shared" si="3"/>
        <v>3459.9</v>
      </c>
      <c r="L15" s="39">
        <f t="shared" si="4"/>
        <v>3000</v>
      </c>
      <c r="M15" s="39">
        <f t="shared" si="5"/>
        <v>459.90000000000009</v>
      </c>
      <c r="N15" s="39">
        <f t="shared" ref="N15" si="10">IF(M15=0,0,M15*$D15/K15)</f>
        <v>398.76875054192323</v>
      </c>
    </row>
    <row r="16" spans="2:14" x14ac:dyDescent="0.25">
      <c r="B16" s="38">
        <v>130</v>
      </c>
      <c r="C16" s="43" t="s">
        <v>47</v>
      </c>
      <c r="D16" s="51">
        <f t="shared" si="7"/>
        <v>1300</v>
      </c>
      <c r="E16" s="40"/>
      <c r="F16" s="39">
        <f t="shared" si="0"/>
        <v>1649.18</v>
      </c>
      <c r="G16" s="39">
        <f t="shared" si="1"/>
        <v>1649.18</v>
      </c>
      <c r="H16" s="39">
        <f t="shared" si="2"/>
        <v>0</v>
      </c>
      <c r="I16" s="39">
        <f t="shared" ref="I16:I18" si="11">IF(H16=0,0,H16*$D16/F16)</f>
        <v>0</v>
      </c>
      <c r="J16" s="37"/>
      <c r="K16" s="39">
        <f t="shared" si="3"/>
        <v>1499.29</v>
      </c>
      <c r="L16" s="39">
        <f t="shared" si="4"/>
        <v>1499.29</v>
      </c>
      <c r="M16" s="39">
        <f t="shared" si="5"/>
        <v>0</v>
      </c>
      <c r="N16" s="39">
        <f t="shared" ref="N16:N18" si="12">IF(M16=0,0,M16*$D16/K16)</f>
        <v>0</v>
      </c>
    </row>
    <row r="17" spans="2:14" x14ac:dyDescent="0.25">
      <c r="B17" s="38">
        <v>110</v>
      </c>
      <c r="C17" s="43" t="s">
        <v>48</v>
      </c>
      <c r="D17" s="51">
        <f t="shared" si="7"/>
        <v>1100</v>
      </c>
      <c r="E17" s="40"/>
      <c r="F17" s="39">
        <f t="shared" si="0"/>
        <v>1395.46</v>
      </c>
      <c r="G17" s="39">
        <f t="shared" si="1"/>
        <v>1395.46</v>
      </c>
      <c r="H17" s="39">
        <f t="shared" si="2"/>
        <v>0</v>
      </c>
      <c r="I17" s="39">
        <f t="shared" si="11"/>
        <v>0</v>
      </c>
      <c r="J17" s="37"/>
      <c r="K17" s="39">
        <f t="shared" si="3"/>
        <v>1268.6300000000001</v>
      </c>
      <c r="L17" s="39">
        <f t="shared" si="4"/>
        <v>1268.6300000000001</v>
      </c>
      <c r="M17" s="39">
        <f t="shared" si="5"/>
        <v>0</v>
      </c>
      <c r="N17" s="39">
        <f t="shared" si="12"/>
        <v>0</v>
      </c>
    </row>
    <row r="18" spans="2:14" x14ac:dyDescent="0.25">
      <c r="B18" s="38">
        <v>170</v>
      </c>
      <c r="C18" s="43" t="s">
        <v>49</v>
      </c>
      <c r="D18" s="51">
        <f t="shared" si="7"/>
        <v>1700</v>
      </c>
      <c r="E18" s="40"/>
      <c r="F18" s="39">
        <f t="shared" si="0"/>
        <v>2156.62</v>
      </c>
      <c r="G18" s="39">
        <f t="shared" si="1"/>
        <v>2156.62</v>
      </c>
      <c r="H18" s="39">
        <f t="shared" si="2"/>
        <v>0</v>
      </c>
      <c r="I18" s="39">
        <f t="shared" si="11"/>
        <v>0</v>
      </c>
      <c r="J18" s="37"/>
      <c r="K18" s="39">
        <f t="shared" si="3"/>
        <v>1960.61</v>
      </c>
      <c r="L18" s="39">
        <f t="shared" si="4"/>
        <v>1960.61</v>
      </c>
      <c r="M18" s="39">
        <f t="shared" si="5"/>
        <v>0</v>
      </c>
      <c r="N18" s="39">
        <f t="shared" si="12"/>
        <v>0</v>
      </c>
    </row>
    <row r="23" spans="2:14" ht="15.75" thickBot="1" x14ac:dyDescent="0.3"/>
    <row r="24" spans="2:14" ht="15.75" thickTop="1" x14ac:dyDescent="0.25">
      <c r="B24" s="21" t="s">
        <v>32</v>
      </c>
      <c r="C24" s="22"/>
      <c r="D24" s="22"/>
      <c r="E24" s="22"/>
      <c r="F24" s="23"/>
    </row>
    <row r="25" spans="2:14" x14ac:dyDescent="0.25">
      <c r="B25" s="24">
        <v>0.23</v>
      </c>
      <c r="C25" s="25" t="s">
        <v>34</v>
      </c>
      <c r="D25" s="25"/>
      <c r="E25" s="25"/>
      <c r="F25" s="26"/>
    </row>
    <row r="26" spans="2:14" x14ac:dyDescent="0.25">
      <c r="B26" s="24">
        <v>0.27</v>
      </c>
      <c r="C26" s="25" t="s">
        <v>35</v>
      </c>
      <c r="D26" s="25"/>
      <c r="E26" s="25"/>
      <c r="F26" s="26"/>
    </row>
    <row r="27" spans="2:14" x14ac:dyDescent="0.25">
      <c r="B27" s="24">
        <v>0.38</v>
      </c>
      <c r="C27" s="25" t="s">
        <v>36</v>
      </c>
      <c r="D27" s="25"/>
      <c r="E27" s="25"/>
      <c r="F27" s="26"/>
    </row>
    <row r="28" spans="2:14" x14ac:dyDescent="0.25">
      <c r="B28" s="24">
        <v>0.41</v>
      </c>
      <c r="C28" s="25" t="s">
        <v>42</v>
      </c>
      <c r="D28" s="25"/>
      <c r="E28" s="25"/>
      <c r="F28" s="26"/>
    </row>
    <row r="29" spans="2:14" ht="15.75" thickBot="1" x14ac:dyDescent="0.3">
      <c r="B29" s="27">
        <v>0.43</v>
      </c>
      <c r="C29" s="28" t="s">
        <v>41</v>
      </c>
      <c r="D29" s="28"/>
      <c r="E29" s="28"/>
      <c r="F29" s="29"/>
    </row>
    <row r="30" spans="2:14" ht="15.75" thickTop="1" x14ac:dyDescent="0.25"/>
  </sheetData>
  <sheetProtection password="C143" sheet="1" objects="1" scenarios="1"/>
  <mergeCells count="2">
    <mergeCell ref="F5:I5"/>
    <mergeCell ref="K5:N5"/>
  </mergeCells>
  <pageMargins left="0.25" right="0.25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NOTA</vt:lpstr>
      <vt:lpstr>Simulazione</vt:lpstr>
      <vt:lpstr>Tabelle</vt:lpstr>
    </vt:vector>
  </TitlesOfParts>
  <Company>Fondiaria-SAI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Croci</dc:creator>
  <cp:lastModifiedBy>Croci Ferdinando</cp:lastModifiedBy>
  <cp:lastPrinted>2018-06-05T14:30:48Z</cp:lastPrinted>
  <dcterms:created xsi:type="dcterms:W3CDTF">2016-06-30T08:17:15Z</dcterms:created>
  <dcterms:modified xsi:type="dcterms:W3CDTF">2019-06-12T14:01:52Z</dcterms:modified>
</cp:coreProperties>
</file>